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fre\Downloads\"/>
    </mc:Choice>
  </mc:AlternateContent>
  <xr:revisionPtr revIDLastSave="0" documentId="8_{EE423188-B049-4ED0-B90E-037A5375EC4F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Berechnung familieneigen" sheetId="1" r:id="rId1"/>
    <sheet name="Berechnung familienfremd" sheetId="3" r:id="rId2"/>
    <sheet name="Lohnabrechnung" sheetId="4" r:id="rId3"/>
    <sheet name="Abzüge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2" l="1"/>
  <c r="F19" i="2"/>
  <c r="F18" i="2"/>
  <c r="F17" i="2"/>
  <c r="F16" i="2" l="1"/>
  <c r="F15" i="2"/>
  <c r="C3" i="4" l="1"/>
  <c r="B10" i="4" l="1"/>
  <c r="B7" i="1"/>
  <c r="G10" i="2"/>
  <c r="G11" i="2" s="1"/>
  <c r="G12" i="2" s="1"/>
  <c r="A13" i="4" l="1"/>
  <c r="C12" i="3" l="1"/>
  <c r="C20" i="3" s="1"/>
  <c r="C9" i="1"/>
  <c r="B8" i="4" s="1"/>
  <c r="C8" i="4" s="1"/>
  <c r="C22" i="4" s="1"/>
  <c r="C6" i="3"/>
  <c r="C20" i="4"/>
  <c r="A10" i="3"/>
  <c r="B14" i="3"/>
  <c r="B10" i="1"/>
  <c r="B11" i="4"/>
  <c r="B15" i="4"/>
  <c r="B12" i="4"/>
  <c r="C27" i="4"/>
  <c r="D6" i="2"/>
  <c r="D7" i="2"/>
  <c r="G8" i="2"/>
  <c r="F8" i="2"/>
  <c r="F9" i="2" s="1"/>
  <c r="F10" i="2" s="1"/>
  <c r="F11" i="2" s="1"/>
  <c r="F12" i="2" s="1"/>
  <c r="F13" i="2" s="1"/>
  <c r="F14" i="2" s="1"/>
  <c r="G6" i="2"/>
  <c r="F6" i="2"/>
  <c r="C6" i="2"/>
  <c r="B6" i="2"/>
  <c r="C7" i="2"/>
  <c r="C8" i="2" s="1"/>
  <c r="C9" i="2" s="1"/>
  <c r="C10" i="2" s="1"/>
  <c r="C11" i="2" s="1"/>
  <c r="C12" i="2" s="1"/>
  <c r="C13" i="2" s="1"/>
  <c r="B7" i="2"/>
  <c r="B8" i="2" s="1"/>
  <c r="B9" i="2" s="1"/>
  <c r="C25" i="3"/>
  <c r="C20" i="1"/>
  <c r="C23" i="3"/>
  <c r="B7" i="4" l="1"/>
  <c r="C7" i="4" s="1"/>
  <c r="C21" i="4" s="1"/>
  <c r="C15" i="1"/>
  <c r="B9" i="3"/>
  <c r="B8" i="3"/>
  <c r="C8" i="1"/>
  <c r="C14" i="1" s="1"/>
  <c r="B7" i="3"/>
  <c r="C11" i="3" l="1"/>
  <c r="C9" i="3" s="1"/>
  <c r="C11" i="1"/>
  <c r="A12" i="1" s="1"/>
  <c r="C16" i="1"/>
  <c r="C6" i="4"/>
  <c r="C9" i="4" s="1"/>
  <c r="C11" i="4" s="1"/>
  <c r="C7" i="1"/>
  <c r="C15" i="3" l="1"/>
  <c r="A17" i="3" s="1"/>
  <c r="C8" i="3"/>
  <c r="C19" i="3"/>
  <c r="C21" i="3" s="1"/>
  <c r="C7" i="3"/>
  <c r="C13" i="3"/>
  <c r="C17" i="1"/>
  <c r="C18" i="1" s="1"/>
  <c r="C10" i="4"/>
  <c r="C12" i="4"/>
  <c r="C15" i="4"/>
  <c r="C22" i="3" l="1"/>
  <c r="C24" i="3" s="1"/>
  <c r="C14" i="4"/>
  <c r="C16" i="4" s="1"/>
  <c r="C19" i="4" s="1"/>
  <c r="C26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Bieri</author>
  </authors>
  <commentList>
    <comment ref="C10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Martin Bieri:</t>
        </r>
        <r>
          <rPr>
            <sz val="10"/>
            <color indexed="81"/>
            <rFont val="Tahoma"/>
            <family val="2"/>
          </rPr>
          <t xml:space="preserve">
Minuszeichen vor Betrag eingeben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Fredy Bürki</author>
    <author>Martin Bieri</author>
  </authors>
  <commentList>
    <comment ref="B9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Ansatz Globalversicherung Brugg
</t>
        </r>
      </text>
    </comment>
    <comment ref="C14" authorId="1" shapeId="0" xr:uid="{00000000-0006-0000-0100-000002000000}">
      <text>
        <r>
          <rPr>
            <b/>
            <sz val="10"/>
            <color indexed="81"/>
            <rFont val="Tahoma"/>
            <family val="2"/>
          </rPr>
          <t>Martin Bieri:</t>
        </r>
        <r>
          <rPr>
            <sz val="10"/>
            <color indexed="81"/>
            <rFont val="Tahoma"/>
            <family val="2"/>
          </rPr>
          <t xml:space="preserve">
Minuszeichen vor Betrag eingeben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Bieri Martin / Schaffer Bieri Katja</author>
  </authors>
  <commentList>
    <comment ref="C1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Martin Bieri:
Betrag Minus eingeben!</t>
        </r>
      </text>
    </comment>
    <comment ref="C21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Martin Bieri:
Betrag Minus eingeben!</t>
        </r>
      </text>
    </comment>
    <comment ref="C22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Martin Bieri:
Betrag Minus eingeben!</t>
        </r>
      </text>
    </comment>
    <comment ref="C23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Martin Bieri:
Betrag Minus eingeben!</t>
        </r>
      </text>
    </comment>
    <comment ref="C24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Martin Bieri:
Betrag Minus eingeben!</t>
        </r>
      </text>
    </comment>
    <comment ref="C25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Martin Bieri:
Betrag Minus eingeben!</t>
        </r>
      </text>
    </comment>
  </commentList>
</comments>
</file>

<file path=xl/sharedStrings.xml><?xml version="1.0" encoding="utf-8"?>
<sst xmlns="http://schemas.openxmlformats.org/spreadsheetml/2006/main" count="154" uniqueCount="83">
  <si>
    <t>Berechnung Bruttolohn für familieneigene Arbeitskräfte in der Landwirtschaft</t>
  </si>
  <si>
    <t>ausbezahlter Barlohn</t>
  </si>
  <si>
    <t>Jahr</t>
  </si>
  <si>
    <t>= Bruttolohn für Lohnmeldung an Ausgleichskasse</t>
  </si>
  <si>
    <t>= Bruttobarlohn</t>
  </si>
  <si>
    <t>990.--/Monat</t>
  </si>
  <si>
    <t>Lohnausweis Ziffer</t>
  </si>
  <si>
    <t>Berechnung AHV-pflichtiger Lohn</t>
  </si>
  <si>
    <t>Lohnausweis ausfüllen</t>
  </si>
  <si>
    <t>Lohn</t>
  </si>
  <si>
    <t>1.</t>
  </si>
  <si>
    <t>Gehaltnebenleistung Verpflegung, Unterkunft</t>
  </si>
  <si>
    <t>Bruttolohn</t>
  </si>
  <si>
    <t>8.</t>
  </si>
  <si>
    <t>Beiträge AHV/IV/EO</t>
  </si>
  <si>
    <t>9.</t>
  </si>
  <si>
    <t>11.</t>
  </si>
  <si>
    <t>1'400.--/Monat</t>
  </si>
  <si>
    <t>- Rentnerfreibetrag (ab Rentenbezugsmonat)</t>
  </si>
  <si>
    <t>Nettolohn (steuerbar)</t>
  </si>
  <si>
    <t>Sozialversicherungen</t>
  </si>
  <si>
    <t>AHV/IV/EO</t>
  </si>
  <si>
    <t>ALV</t>
  </si>
  <si>
    <t>Pflicht Pensionskasse</t>
  </si>
  <si>
    <t>indiv. Betrag</t>
  </si>
  <si>
    <t>Beiträge AHV/IV/EO/ALV/NBUV</t>
  </si>
  <si>
    <t>Berufliche Vorsorge ordentliche Beiträge</t>
  </si>
  <si>
    <t>10.1</t>
  </si>
  <si>
    <t>Berechnung Bruttolohn für familienfremde Arbeitskräfte</t>
  </si>
  <si>
    <t>Fr.</t>
  </si>
  <si>
    <t>= Bruttolohn für Lohnmeldung an Unfallversicherung</t>
  </si>
  <si>
    <t>geringfügiger Lohn</t>
  </si>
  <si>
    <t>+ Arbeitnehmerbeiträge AHV/IV/EO auf Bruttobarlohn</t>
  </si>
  <si>
    <t>+ Arbeitnehmerbeiträge ALV auf Bruttobarlohn</t>
  </si>
  <si>
    <t>+ Arbeitnehmerb. NBUV auf B.barlohn (ab 8 Std./Woche)</t>
  </si>
  <si>
    <t>+ AN'beitrag Pk auf B.barlohn (ab 19'890.-- Jahreslohn)</t>
  </si>
  <si>
    <t>erstellt am</t>
  </si>
  <si>
    <t>NBUV</t>
  </si>
  <si>
    <t>Naturallohn</t>
  </si>
  <si>
    <t>Naturallohn pro Monat</t>
  </si>
  <si>
    <t>Text Pflicht Pensionskasse</t>
  </si>
  <si>
    <t>+ AN'beitrag Pk auf B.barlohn (ab 20'880.-- Jahreslohn)</t>
  </si>
  <si>
    <t>+ AN'beitrag Pk auf B.barlohn (ab 21'060.-- Jahreslohn)</t>
  </si>
  <si>
    <t>Berechnung Lohnauszahlung</t>
  </si>
  <si>
    <t>Januar</t>
  </si>
  <si>
    <t>Dezember</t>
  </si>
  <si>
    <t>Bruttobarlohn</t>
  </si>
  <si>
    <t>Naturallohn Logis                                            Anzahl Monate</t>
  </si>
  <si>
    <t>Naturallohn Kost</t>
  </si>
  <si>
    <t>Naturallohn Logis</t>
  </si>
  <si>
    <t>Naturallohn Kost                                              Anzahl Monate</t>
  </si>
  <si>
    <t>- Arbeitnehmerbeiträge AHV/IV/EO auf Bruttolohn</t>
  </si>
  <si>
    <t>- Arbeitnehmerbeiträge ALV auf Bruttolohn</t>
  </si>
  <si>
    <t>- Arbeitnehmerbeitrag Taggeldversicherung</t>
  </si>
  <si>
    <t>= Nettolohn Lohnausweis</t>
  </si>
  <si>
    <t>- Arbeitnehmerb. NBUV auf Bruttolohn (ab 8 Std./Woche)</t>
  </si>
  <si>
    <t>familieneigen</t>
  </si>
  <si>
    <t>familienfremd</t>
  </si>
  <si>
    <t>ja</t>
  </si>
  <si>
    <t>= Nettolohn</t>
  </si>
  <si>
    <t>KTV</t>
  </si>
  <si>
    <t>Nettolohn</t>
  </si>
  <si>
    <t>- Vorbezüge</t>
  </si>
  <si>
    <t>= Nettoauszahlung</t>
  </si>
  <si>
    <t>- Naturallohn Kost</t>
  </si>
  <si>
    <t>- Naturallohn Logis</t>
  </si>
  <si>
    <t>- à-Kontozahlungen</t>
  </si>
  <si>
    <t>- Lohngutschriften</t>
  </si>
  <si>
    <t>+ nicht bezogene Kost (während Ferien oder freien Tagen)</t>
  </si>
  <si>
    <t>Lohnabrechnung für:</t>
  </si>
  <si>
    <t>Abrechnung für die Periode von…   bis…</t>
  </si>
  <si>
    <t>gesetzliche Normansätze</t>
  </si>
  <si>
    <t>gesetzliche oder behördliche Normansätze</t>
  </si>
  <si>
    <t>Rentner-freibetrag</t>
  </si>
  <si>
    <t>Ansätze vom Versicherer</t>
  </si>
  <si>
    <t>Tage</t>
  </si>
  <si>
    <t>Naturallohn Kost pro Tag</t>
  </si>
  <si>
    <t>+ Naturallohn (Anzahl Monate)</t>
  </si>
  <si>
    <t>+ AN'beitrag Pk auf B.barlohn (ab 21'150.-- Jahreslohn)</t>
  </si>
  <si>
    <t>Tarife gemäss Berner Bauern Verband (Globalversicherung)</t>
  </si>
  <si>
    <t>+ AN'beitrag Pk auf B.barlohn (ab 21'330.-- Jahreslohn)</t>
  </si>
  <si>
    <t>+ AN'beitrag Pk auf B.barlohn (ab 21'510.-- Jahreslohn)</t>
  </si>
  <si>
    <t>+ AN'beitrag Pk auf B.barlohn (ab 22'050.-- Jahreslohn)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</si>
</sst>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00%"/>
  </numFmts>
  <fonts count="13" x14ac:knownFonts="1">
    <font>
      <sz val="12"/>
      <name val="Arial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b/>
      <sz val="28"/>
      <name val="Arial"/>
      <family val="2"/>
    </font>
    <font>
      <sz val="22"/>
      <name val="Arial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1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horizontal="center" vertical="center"/>
    </xf>
    <xf numFmtId="164" fontId="0" fillId="0" borderId="5" xfId="0" applyNumberFormat="1" applyBorder="1" applyAlignment="1">
      <alignment vertical="center"/>
    </xf>
    <xf numFmtId="49" fontId="0" fillId="0" borderId="0" xfId="0" applyNumberFormat="1" applyAlignment="1">
      <alignment horizontal="center" vertical="center"/>
    </xf>
    <xf numFmtId="164" fontId="0" fillId="0" borderId="5" xfId="1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49" fontId="0" fillId="0" borderId="7" xfId="0" applyNumberFormat="1" applyBorder="1" applyAlignment="1">
      <alignment horizontal="center" vertical="center"/>
    </xf>
    <xf numFmtId="164" fontId="0" fillId="0" borderId="8" xfId="0" applyNumberForma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quotePrefix="1" applyBorder="1" applyAlignment="1">
      <alignment vertical="center"/>
    </xf>
    <xf numFmtId="10" fontId="0" fillId="0" borderId="7" xfId="2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  <xf numFmtId="10" fontId="0" fillId="0" borderId="0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6" xfId="0" quotePrefix="1" applyFont="1" applyBorder="1" applyAlignment="1">
      <alignment vertical="center"/>
    </xf>
    <xf numFmtId="164" fontId="0" fillId="3" borderId="3" xfId="1" applyNumberFormat="1" applyFont="1" applyFill="1" applyBorder="1" applyAlignment="1" applyProtection="1">
      <alignment vertical="center"/>
      <protection locked="0"/>
    </xf>
    <xf numFmtId="10" fontId="0" fillId="3" borderId="0" xfId="2" applyNumberFormat="1" applyFont="1" applyFill="1" applyBorder="1" applyAlignment="1" applyProtection="1">
      <alignment horizontal="center" vertical="center"/>
      <protection locked="0"/>
    </xf>
    <xf numFmtId="164" fontId="0" fillId="3" borderId="5" xfId="1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164" fontId="3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0" fontId="6" fillId="0" borderId="0" xfId="2" applyNumberFormat="1" applyFont="1" applyBorder="1" applyAlignment="1">
      <alignment horizontal="center" vertical="center"/>
    </xf>
    <xf numFmtId="0" fontId="6" fillId="0" borderId="4" xfId="0" quotePrefix="1" applyFont="1" applyBorder="1" applyAlignment="1">
      <alignment vertical="center"/>
    </xf>
    <xf numFmtId="164" fontId="6" fillId="0" borderId="5" xfId="0" applyNumberFormat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14" fontId="7" fillId="0" borderId="0" xfId="0" applyNumberFormat="1" applyFont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right"/>
    </xf>
    <xf numFmtId="14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3" fillId="0" borderId="4" xfId="0" quotePrefix="1" applyFont="1" applyBorder="1" applyAlignment="1">
      <alignment vertical="center"/>
    </xf>
    <xf numFmtId="10" fontId="3" fillId="0" borderId="0" xfId="2" applyNumberFormat="1" applyFont="1" applyFill="1" applyBorder="1" applyAlignment="1">
      <alignment horizontal="center" vertical="center"/>
    </xf>
    <xf numFmtId="164" fontId="3" fillId="0" borderId="5" xfId="1" applyNumberFormat="1" applyFont="1" applyBorder="1" applyAlignment="1">
      <alignment vertical="center"/>
    </xf>
    <xf numFmtId="0" fontId="0" fillId="3" borderId="0" xfId="1" applyNumberFormat="1" applyFont="1" applyFill="1" applyBorder="1" applyAlignment="1" applyProtection="1">
      <alignment horizontal="center" vertical="center"/>
      <protection locked="0"/>
    </xf>
    <xf numFmtId="10" fontId="3" fillId="0" borderId="0" xfId="2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164" fontId="3" fillId="0" borderId="3" xfId="0" applyNumberFormat="1" applyFont="1" applyBorder="1" applyAlignment="1">
      <alignment vertical="center"/>
    </xf>
    <xf numFmtId="49" fontId="3" fillId="0" borderId="7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vertical="center"/>
    </xf>
    <xf numFmtId="0" fontId="8" fillId="3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/>
    <xf numFmtId="49" fontId="6" fillId="0" borderId="2" xfId="0" applyNumberFormat="1" applyFont="1" applyBorder="1" applyAlignment="1">
      <alignment horizontal="center" vertical="center"/>
    </xf>
    <xf numFmtId="43" fontId="0" fillId="0" borderId="0" xfId="1" applyFont="1"/>
    <xf numFmtId="43" fontId="6" fillId="0" borderId="0" xfId="1" applyFont="1" applyAlignment="1">
      <alignment horizontal="center" vertical="center" wrapText="1"/>
    </xf>
    <xf numFmtId="164" fontId="0" fillId="0" borderId="5" xfId="1" applyNumberFormat="1" applyFont="1" applyFill="1" applyBorder="1" applyAlignment="1" applyProtection="1">
      <alignment vertical="center"/>
      <protection locked="0"/>
    </xf>
    <xf numFmtId="10" fontId="0" fillId="0" borderId="0" xfId="2" applyNumberFormat="1" applyFont="1" applyFill="1" applyAlignment="1" applyProtection="1">
      <alignment horizontal="center"/>
      <protection locked="0"/>
    </xf>
    <xf numFmtId="164" fontId="0" fillId="0" borderId="0" xfId="1" applyNumberFormat="1" applyFont="1" applyFill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43" fontId="6" fillId="0" borderId="0" xfId="1" applyFont="1" applyFill="1" applyAlignment="1" applyProtection="1">
      <alignment horizontal="center"/>
      <protection locked="0"/>
    </xf>
    <xf numFmtId="0" fontId="0" fillId="0" borderId="0" xfId="0" quotePrefix="1" applyAlignment="1" applyProtection="1">
      <alignment vertical="center"/>
      <protection locked="0"/>
    </xf>
    <xf numFmtId="0" fontId="6" fillId="0" borderId="0" xfId="0" quotePrefix="1" applyFont="1" applyAlignment="1" applyProtection="1">
      <alignment vertical="center"/>
      <protection locked="0"/>
    </xf>
    <xf numFmtId="10" fontId="0" fillId="0" borderId="0" xfId="0" applyNumberFormat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43" fontId="0" fillId="0" borderId="0" xfId="1" applyFont="1" applyFill="1" applyProtection="1">
      <protection locked="0"/>
    </xf>
    <xf numFmtId="165" fontId="0" fillId="3" borderId="0" xfId="2" applyNumberFormat="1" applyFont="1" applyFill="1" applyBorder="1" applyAlignment="1" applyProtection="1">
      <alignment horizontal="center" vertical="center"/>
      <protection locked="0"/>
    </xf>
    <xf numFmtId="165" fontId="0" fillId="0" borderId="0" xfId="2" applyNumberFormat="1" applyFont="1" applyFill="1" applyBorder="1" applyAlignment="1">
      <alignment horizontal="center" vertical="center"/>
    </xf>
    <xf numFmtId="165" fontId="0" fillId="0" borderId="0" xfId="0" applyNumberFormat="1" applyAlignment="1" applyProtection="1">
      <alignment horizontal="center"/>
      <protection locked="0"/>
    </xf>
    <xf numFmtId="0" fontId="1" fillId="0" borderId="0" xfId="0" quotePrefix="1" applyFont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0</xdr:row>
      <xdr:rowOff>590550</xdr:rowOff>
    </xdr:from>
    <xdr:to>
      <xdr:col>7</xdr:col>
      <xdr:colOff>190500</xdr:colOff>
      <xdr:row>0</xdr:row>
      <xdr:rowOff>1419225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943600" y="590550"/>
          <a:ext cx="3752850" cy="828675"/>
        </a:xfrm>
        <a:prstGeom prst="rect">
          <a:avLst/>
        </a:prstGeom>
        <a:solidFill>
          <a:srgbClr val="00B0F0">
            <a:alpha val="19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1"/>
            <a:t>blaue Felder sind Eingabefelder</a:t>
          </a:r>
        </a:p>
        <a:p>
          <a:endParaRPr lang="de-CH" sz="1100"/>
        </a:p>
        <a:p>
          <a:r>
            <a:rPr lang="de-CH" sz="1100"/>
            <a:t>Bei Fragen stehen Ihnen die Mitarbeiterinnen und Mitarbeiter der AGRO-Treuhand</a:t>
          </a:r>
          <a:r>
            <a:rPr lang="de-CH" sz="1100" baseline="0"/>
            <a:t> Waldhof gerne zur Verfügung.</a:t>
          </a:r>
          <a:endParaRPr lang="de-CH" sz="1100"/>
        </a:p>
      </xdr:txBody>
    </xdr:sp>
    <xdr:clientData fPrintsWithSheet="0"/>
  </xdr:twoCellAnchor>
  <xdr:twoCellAnchor editAs="oneCell">
    <xdr:from>
      <xdr:col>0</xdr:col>
      <xdr:colOff>28576</xdr:colOff>
      <xdr:row>0</xdr:row>
      <xdr:rowOff>28576</xdr:rowOff>
    </xdr:from>
    <xdr:to>
      <xdr:col>2</xdr:col>
      <xdr:colOff>925657</xdr:colOff>
      <xdr:row>1</xdr:row>
      <xdr:rowOff>47626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6" y="28576"/>
          <a:ext cx="5735781" cy="152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0</xdr:row>
      <xdr:rowOff>666750</xdr:rowOff>
    </xdr:from>
    <xdr:to>
      <xdr:col>7</xdr:col>
      <xdr:colOff>104775</xdr:colOff>
      <xdr:row>1</xdr:row>
      <xdr:rowOff>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019800" y="666750"/>
          <a:ext cx="3752850" cy="828675"/>
        </a:xfrm>
        <a:prstGeom prst="rect">
          <a:avLst/>
        </a:prstGeom>
        <a:solidFill>
          <a:srgbClr val="00B0F0">
            <a:alpha val="19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1"/>
            <a:t>blaue Felder sind Eingabefelder</a:t>
          </a:r>
        </a:p>
        <a:p>
          <a:endParaRPr lang="de-CH" sz="1100"/>
        </a:p>
        <a:p>
          <a:r>
            <a:rPr lang="de-CH" sz="1100"/>
            <a:t>Bei Fragen stehen Ihnen die Mitarbeiterinnen und Mitarbeiter der AGRO-Treuhand</a:t>
          </a:r>
          <a:r>
            <a:rPr lang="de-CH" sz="1100" baseline="0"/>
            <a:t> Waldhof gerne zur Verfügung.</a:t>
          </a:r>
          <a:endParaRPr lang="de-CH" sz="1100"/>
        </a:p>
      </xdr:txBody>
    </xdr:sp>
    <xdr:clientData fPrintsWithSheet="0"/>
  </xdr:twoCellAnchor>
  <xdr:twoCellAnchor editAs="oneCell">
    <xdr:from>
      <xdr:col>0</xdr:col>
      <xdr:colOff>9525</xdr:colOff>
      <xdr:row>0</xdr:row>
      <xdr:rowOff>28575</xdr:rowOff>
    </xdr:from>
    <xdr:to>
      <xdr:col>2</xdr:col>
      <xdr:colOff>923925</xdr:colOff>
      <xdr:row>1</xdr:row>
      <xdr:rowOff>104775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8575"/>
          <a:ext cx="5915025" cy="1571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0</xdr:row>
      <xdr:rowOff>619125</xdr:rowOff>
    </xdr:from>
    <xdr:to>
      <xdr:col>7</xdr:col>
      <xdr:colOff>85725</xdr:colOff>
      <xdr:row>0</xdr:row>
      <xdr:rowOff>1447800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000750" y="619125"/>
          <a:ext cx="3752850" cy="828675"/>
        </a:xfrm>
        <a:prstGeom prst="rect">
          <a:avLst/>
        </a:prstGeom>
        <a:solidFill>
          <a:srgbClr val="00B0F0">
            <a:alpha val="19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1"/>
            <a:t>blaue Felder sind Eingabefelder</a:t>
          </a:r>
        </a:p>
        <a:p>
          <a:endParaRPr lang="de-CH" sz="1100"/>
        </a:p>
        <a:p>
          <a:r>
            <a:rPr lang="de-CH" sz="1100"/>
            <a:t>Bei Fragen stehen Ihnen die Mitarbeiterinnen und Mitarbeiter der AGRO-Treuhand</a:t>
          </a:r>
          <a:r>
            <a:rPr lang="de-CH" sz="1100" baseline="0"/>
            <a:t> Waldhof gerne zur Verfügung.</a:t>
          </a:r>
          <a:endParaRPr lang="de-CH" sz="1100"/>
        </a:p>
      </xdr:txBody>
    </xdr:sp>
    <xdr:clientData fPrintsWithSheet="0"/>
  </xdr:twoCellAnchor>
  <xdr:twoCellAnchor editAs="oneCell">
    <xdr:from>
      <xdr:col>0</xdr:col>
      <xdr:colOff>28575</xdr:colOff>
      <xdr:row>0</xdr:row>
      <xdr:rowOff>28576</xdr:rowOff>
    </xdr:from>
    <xdr:to>
      <xdr:col>2</xdr:col>
      <xdr:colOff>923926</xdr:colOff>
      <xdr:row>1</xdr:row>
      <xdr:rowOff>99715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28576"/>
          <a:ext cx="5895976" cy="1566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tabSelected="1" workbookViewId="0">
      <selection activeCell="B4" sqref="B4:C4"/>
    </sheetView>
  </sheetViews>
  <sheetFormatPr baseColWidth="10" defaultColWidth="10.88671875" defaultRowHeight="30" customHeight="1" x14ac:dyDescent="0.4"/>
  <cols>
    <col min="1" max="1" width="44.109375" style="16" customWidth="1"/>
    <col min="2" max="2" width="12.33203125" style="5" customWidth="1"/>
    <col min="3" max="16384" width="10.88671875" style="16"/>
  </cols>
  <sheetData>
    <row r="1" spans="1:3" ht="118.9" customHeight="1" x14ac:dyDescent="0.4"/>
    <row r="2" spans="1:3" ht="30" customHeight="1" x14ac:dyDescent="0.4">
      <c r="A2" s="15"/>
    </row>
    <row r="3" spans="1:3" ht="30" customHeight="1" x14ac:dyDescent="0.4">
      <c r="A3" s="15" t="s">
        <v>0</v>
      </c>
    </row>
    <row r="4" spans="1:3" ht="30" customHeight="1" x14ac:dyDescent="0.4">
      <c r="A4" s="18" t="s">
        <v>2</v>
      </c>
      <c r="B4" s="74">
        <v>2026</v>
      </c>
      <c r="C4" s="74"/>
    </row>
    <row r="5" spans="1:3" ht="30" customHeight="1" x14ac:dyDescent="0.4">
      <c r="A5" s="15" t="s">
        <v>7</v>
      </c>
      <c r="C5" s="18" t="s">
        <v>29</v>
      </c>
    </row>
    <row r="6" spans="1:3" ht="30" customHeight="1" x14ac:dyDescent="0.4">
      <c r="A6" s="1" t="s">
        <v>1</v>
      </c>
      <c r="B6" s="12"/>
      <c r="C6" s="22">
        <v>0</v>
      </c>
    </row>
    <row r="7" spans="1:3" ht="30" customHeight="1" x14ac:dyDescent="0.4">
      <c r="A7" s="13" t="s">
        <v>32</v>
      </c>
      <c r="B7" s="71">
        <f>VLOOKUP(B4,Abzüge!A4:M29,2)/2</f>
        <v>5.2999999999999999E-2</v>
      </c>
      <c r="C7" s="8">
        <f>IF(C10=0,(C6/(B11-B7)-C6),(C6/(B11-B7)-C6))</f>
        <v>0</v>
      </c>
    </row>
    <row r="8" spans="1:3" ht="30" customHeight="1" x14ac:dyDescent="0.4">
      <c r="A8" s="13" t="s">
        <v>4</v>
      </c>
      <c r="C8" s="8">
        <f>C6/(B11-B7)</f>
        <v>0</v>
      </c>
    </row>
    <row r="9" spans="1:3" ht="30" customHeight="1" x14ac:dyDescent="0.4">
      <c r="A9" s="29" t="s">
        <v>77</v>
      </c>
      <c r="B9" s="44">
        <v>0</v>
      </c>
      <c r="C9" s="8">
        <f>VLOOKUP(B4,Abzüge!A4:H29,8)/12*B9</f>
        <v>0</v>
      </c>
    </row>
    <row r="10" spans="1:3" ht="30" customHeight="1" x14ac:dyDescent="0.4">
      <c r="A10" s="13" t="s">
        <v>18</v>
      </c>
      <c r="B10" s="5" t="str">
        <f>VLOOKUP(B4,Abzüge!A4:M29,13)</f>
        <v>1'400.--/Monat</v>
      </c>
      <c r="C10" s="24">
        <v>0</v>
      </c>
    </row>
    <row r="11" spans="1:3" ht="30" customHeight="1" x14ac:dyDescent="0.4">
      <c r="A11" s="21" t="s">
        <v>3</v>
      </c>
      <c r="B11" s="14">
        <v>1</v>
      </c>
      <c r="C11" s="26" t="str">
        <f>IF(C8+C9+C10&gt;0,(C8+C9+C10),"keiner")</f>
        <v>keiner</v>
      </c>
    </row>
    <row r="12" spans="1:3" ht="30" customHeight="1" x14ac:dyDescent="0.4">
      <c r="A12" s="25" t="str">
        <f>IF(AND(C11&lt;C4,C10=0),"--&gt; geringfügiger Lohn Freigrenze Fr. 2'200.--: AHV-Abrechnung ist freiwillig (ausser Privathaushalt)","")</f>
        <v/>
      </c>
    </row>
    <row r="13" spans="1:3" ht="30" customHeight="1" x14ac:dyDescent="0.4">
      <c r="A13" s="15" t="s">
        <v>8</v>
      </c>
      <c r="B13" s="17" t="s">
        <v>6</v>
      </c>
      <c r="C13" s="18" t="s">
        <v>29</v>
      </c>
    </row>
    <row r="14" spans="1:3" ht="30" customHeight="1" x14ac:dyDescent="0.4">
      <c r="A14" s="1" t="s">
        <v>9</v>
      </c>
      <c r="B14" s="2" t="s">
        <v>10</v>
      </c>
      <c r="C14" s="3">
        <f>C8</f>
        <v>0</v>
      </c>
    </row>
    <row r="15" spans="1:3" ht="30" customHeight="1" x14ac:dyDescent="0.4">
      <c r="A15" s="4" t="s">
        <v>11</v>
      </c>
      <c r="B15" s="5">
        <v>2.1</v>
      </c>
      <c r="C15" s="6">
        <f>C9</f>
        <v>0</v>
      </c>
    </row>
    <row r="16" spans="1:3" ht="30" customHeight="1" x14ac:dyDescent="0.4">
      <c r="A16" s="4" t="s">
        <v>12</v>
      </c>
      <c r="B16" s="7" t="s">
        <v>13</v>
      </c>
      <c r="C16" s="6">
        <f>C15+C14</f>
        <v>0</v>
      </c>
    </row>
    <row r="17" spans="1:3" ht="30" customHeight="1" x14ac:dyDescent="0.4">
      <c r="A17" s="4" t="s">
        <v>14</v>
      </c>
      <c r="B17" s="7" t="s">
        <v>15</v>
      </c>
      <c r="C17" s="8">
        <f>IF(C11="keiner",0,ROUND((C16+C10)*B7/5,2)*5)</f>
        <v>0</v>
      </c>
    </row>
    <row r="18" spans="1:3" ht="30" customHeight="1" x14ac:dyDescent="0.4">
      <c r="A18" s="9" t="s">
        <v>19</v>
      </c>
      <c r="B18" s="10" t="s">
        <v>16</v>
      </c>
      <c r="C18" s="11">
        <f>C16-C17</f>
        <v>0</v>
      </c>
    </row>
    <row r="20" spans="1:3" s="32" customFormat="1" ht="30" customHeight="1" x14ac:dyDescent="0.4">
      <c r="A20" s="32" t="s">
        <v>79</v>
      </c>
      <c r="B20" s="31" t="s">
        <v>36</v>
      </c>
      <c r="C20" s="33">
        <f ca="1">TODAY()</f>
        <v>46050</v>
      </c>
    </row>
  </sheetData>
  <mergeCells count="1">
    <mergeCell ref="B4:C4"/>
  </mergeCells>
  <phoneticPr fontId="2" type="noConversion"/>
  <pageMargins left="0.79" right="0.78740157499999996" top="0.984251969" bottom="0.984251969" header="0.4921259845" footer="0.4921259845"/>
  <pageSetup paperSize="9" orientation="portrait" r:id="rId1"/>
  <headerFooter alignWithMargins="0">
    <oddFooter>&amp;L&amp;8Dezember 2010; MB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5"/>
  <sheetViews>
    <sheetView workbookViewId="0">
      <selection activeCell="B4" sqref="B4:C4"/>
    </sheetView>
  </sheetViews>
  <sheetFormatPr baseColWidth="10" defaultColWidth="10.88671875" defaultRowHeight="27" customHeight="1" x14ac:dyDescent="0.4"/>
  <cols>
    <col min="1" max="1" width="46" style="16" customWidth="1"/>
    <col min="2" max="2" width="12.33203125" style="5" customWidth="1"/>
    <col min="3" max="16384" width="10.88671875" style="16"/>
  </cols>
  <sheetData>
    <row r="1" spans="1:3" ht="118.15" customHeight="1" x14ac:dyDescent="0.4"/>
    <row r="2" spans="1:3" ht="27" customHeight="1" x14ac:dyDescent="0.4">
      <c r="A2" s="15"/>
    </row>
    <row r="3" spans="1:3" ht="27" customHeight="1" x14ac:dyDescent="0.4">
      <c r="A3" s="15" t="s">
        <v>28</v>
      </c>
    </row>
    <row r="4" spans="1:3" ht="27" customHeight="1" x14ac:dyDescent="0.4">
      <c r="A4" s="18" t="s">
        <v>2</v>
      </c>
      <c r="B4" s="74">
        <v>2026</v>
      </c>
      <c r="C4" s="74"/>
    </row>
    <row r="5" spans="1:3" ht="27" customHeight="1" x14ac:dyDescent="0.4">
      <c r="A5" s="15" t="s">
        <v>7</v>
      </c>
      <c r="C5" s="18" t="s">
        <v>29</v>
      </c>
    </row>
    <row r="6" spans="1:3" ht="27" customHeight="1" x14ac:dyDescent="0.4">
      <c r="A6" s="1" t="s">
        <v>1</v>
      </c>
      <c r="B6" s="12"/>
      <c r="C6" s="22">
        <f>'Berechnung familieneigen'!C6</f>
        <v>0</v>
      </c>
    </row>
    <row r="7" spans="1:3" ht="27" customHeight="1" x14ac:dyDescent="0.4">
      <c r="A7" s="13" t="s">
        <v>32</v>
      </c>
      <c r="B7" s="71">
        <f>VLOOKUP($B$4,Abzüge!$A$4:$H$29,2)/2</f>
        <v>5.2999999999999999E-2</v>
      </c>
      <c r="C7" s="8">
        <f>$C$11*B7</f>
        <v>0</v>
      </c>
    </row>
    <row r="8" spans="1:3" ht="27" customHeight="1" x14ac:dyDescent="0.4">
      <c r="A8" s="13" t="s">
        <v>33</v>
      </c>
      <c r="B8" s="19">
        <f>VLOOKUP($B$4,Abzüge!$A$4:$H$29,3)/2</f>
        <v>1.0999999999999999E-2</v>
      </c>
      <c r="C8" s="8">
        <f>$C$11*B8</f>
        <v>0</v>
      </c>
    </row>
    <row r="9" spans="1:3" ht="27" customHeight="1" x14ac:dyDescent="0.4">
      <c r="A9" s="13" t="s">
        <v>34</v>
      </c>
      <c r="B9" s="70">
        <f>VLOOKUP(B4,Abzüge!A4:H29,4)</f>
        <v>1.6070000000000001E-2</v>
      </c>
      <c r="C9" s="8">
        <f>$C$11*B9</f>
        <v>0</v>
      </c>
    </row>
    <row r="10" spans="1:3" ht="27" customHeight="1" x14ac:dyDescent="0.4">
      <c r="A10" s="13" t="str">
        <f>VLOOKUP(B4,Abzüge!A4:N29,14)</f>
        <v>+ AN'beitrag Pk auf B.barlohn (ab 22'050.-- Jahreslohn)</v>
      </c>
      <c r="B10" s="19" t="s">
        <v>24</v>
      </c>
      <c r="C10" s="24">
        <v>0</v>
      </c>
    </row>
    <row r="11" spans="1:3" ht="27" customHeight="1" x14ac:dyDescent="0.4">
      <c r="A11" s="13" t="s">
        <v>4</v>
      </c>
      <c r="C11" s="8">
        <f>(C6+C10)/(B13-B7-B8-B9)</f>
        <v>0</v>
      </c>
    </row>
    <row r="12" spans="1:3" ht="27" customHeight="1" x14ac:dyDescent="0.4">
      <c r="A12" s="29" t="s">
        <v>77</v>
      </c>
      <c r="B12" s="44">
        <v>0</v>
      </c>
      <c r="C12" s="30">
        <f>VLOOKUP(B4,Abzüge!A4:M29,8)/12*B12</f>
        <v>0</v>
      </c>
    </row>
    <row r="13" spans="1:3" s="27" customFormat="1" ht="27" customHeight="1" x14ac:dyDescent="0.4">
      <c r="A13" s="29" t="s">
        <v>30</v>
      </c>
      <c r="B13" s="28">
        <v>1</v>
      </c>
      <c r="C13" s="30">
        <f>C11+C12</f>
        <v>0</v>
      </c>
    </row>
    <row r="14" spans="1:3" ht="27" customHeight="1" x14ac:dyDescent="0.4">
      <c r="A14" s="13" t="s">
        <v>18</v>
      </c>
      <c r="B14" s="5" t="str">
        <f>VLOOKUP(B4,Abzüge!A4:M29,13)</f>
        <v>1'400.--/Monat</v>
      </c>
      <c r="C14" s="24">
        <v>0</v>
      </c>
    </row>
    <row r="15" spans="1:3" ht="27" customHeight="1" x14ac:dyDescent="0.4">
      <c r="A15" s="21" t="s">
        <v>3</v>
      </c>
      <c r="B15" s="14">
        <v>1</v>
      </c>
      <c r="C15" s="26" t="str">
        <f>IF(C11+C12+C14&gt;0,(C11+C12+C14),"keiner")</f>
        <v>keiner</v>
      </c>
    </row>
    <row r="17" spans="1:3" ht="27" customHeight="1" x14ac:dyDescent="0.4">
      <c r="A17" s="25" t="str">
        <f>IF(AND(C15&lt;C4,C14=0),"--&gt; geringfügiger Lohn Freigrenze Fr. 2'200.--: AHV-Abrechnung ist freiwillig (ausser Privathaushalt)","")</f>
        <v/>
      </c>
    </row>
    <row r="18" spans="1:3" ht="27" customHeight="1" x14ac:dyDescent="0.4">
      <c r="A18" s="15" t="s">
        <v>8</v>
      </c>
      <c r="B18" s="17" t="s">
        <v>6</v>
      </c>
      <c r="C18" s="18" t="s">
        <v>29</v>
      </c>
    </row>
    <row r="19" spans="1:3" ht="27" customHeight="1" x14ac:dyDescent="0.4">
      <c r="A19" s="1" t="s">
        <v>9</v>
      </c>
      <c r="B19" s="2" t="s">
        <v>10</v>
      </c>
      <c r="C19" s="3">
        <f>C11</f>
        <v>0</v>
      </c>
    </row>
    <row r="20" spans="1:3" ht="27" customHeight="1" x14ac:dyDescent="0.4">
      <c r="A20" s="4" t="s">
        <v>11</v>
      </c>
      <c r="B20" s="5">
        <v>2.1</v>
      </c>
      <c r="C20" s="6">
        <f>C12</f>
        <v>0</v>
      </c>
    </row>
    <row r="21" spans="1:3" ht="27" customHeight="1" x14ac:dyDescent="0.4">
      <c r="A21" s="4" t="s">
        <v>12</v>
      </c>
      <c r="B21" s="7" t="s">
        <v>13</v>
      </c>
      <c r="C21" s="6">
        <f>ROUND((C20+C19)/5,1)*5</f>
        <v>0</v>
      </c>
    </row>
    <row r="22" spans="1:3" ht="27" customHeight="1" x14ac:dyDescent="0.4">
      <c r="A22" s="4" t="s">
        <v>25</v>
      </c>
      <c r="B22" s="7" t="s">
        <v>15</v>
      </c>
      <c r="C22" s="8">
        <f>IF(C15="keiner",0,(ROUND(((C21+C14)*(B7+B8+B9))/5,1)*5))</f>
        <v>0</v>
      </c>
    </row>
    <row r="23" spans="1:3" ht="27" customHeight="1" x14ac:dyDescent="0.4">
      <c r="A23" s="4" t="s">
        <v>26</v>
      </c>
      <c r="B23" s="7" t="s">
        <v>27</v>
      </c>
      <c r="C23" s="8">
        <f>C10</f>
        <v>0</v>
      </c>
    </row>
    <row r="24" spans="1:3" ht="27" customHeight="1" x14ac:dyDescent="0.4">
      <c r="A24" s="9" t="s">
        <v>19</v>
      </c>
      <c r="B24" s="10" t="s">
        <v>16</v>
      </c>
      <c r="C24" s="11">
        <f>C21-C22-C23</f>
        <v>0</v>
      </c>
    </row>
    <row r="25" spans="1:3" s="34" customFormat="1" ht="30" customHeight="1" x14ac:dyDescent="0.35">
      <c r="A25" s="34" t="s">
        <v>79</v>
      </c>
      <c r="B25" s="35" t="s">
        <v>36</v>
      </c>
      <c r="C25" s="36">
        <f ca="1">TODAY()</f>
        <v>46050</v>
      </c>
    </row>
  </sheetData>
  <mergeCells count="1">
    <mergeCell ref="B4:C4"/>
  </mergeCells>
  <phoneticPr fontId="2" type="noConversion"/>
  <pageMargins left="0.78740157499999996" right="0.78740157499999996" top="0.7" bottom="0.32" header="0.31" footer="0.28999999999999998"/>
  <pageSetup paperSize="9" orientation="portrait" r:id="rId1"/>
  <headerFooter alignWithMargins="0">
    <oddFooter>&amp;L&amp;8Dezember 2010; MB</oddFooter>
  </headerFooter>
  <ignoredErrors>
    <ignoredError sqref="B9" unlockedFormula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7"/>
  <sheetViews>
    <sheetView workbookViewId="0">
      <selection activeCell="B4" sqref="B4:C4"/>
    </sheetView>
  </sheetViews>
  <sheetFormatPr baseColWidth="10" defaultColWidth="10.88671875" defaultRowHeight="27" customHeight="1" x14ac:dyDescent="0.4"/>
  <cols>
    <col min="1" max="1" width="46" style="16" customWidth="1"/>
    <col min="2" max="2" width="12.33203125" style="5" customWidth="1"/>
    <col min="3" max="16384" width="10.88671875" style="16"/>
  </cols>
  <sheetData>
    <row r="1" spans="1:3" ht="118.15" customHeight="1" x14ac:dyDescent="0.4"/>
    <row r="2" spans="1:3" ht="27" customHeight="1" x14ac:dyDescent="0.35">
      <c r="A2" s="15"/>
      <c r="B2" s="47" t="s">
        <v>56</v>
      </c>
      <c r="C2" s="47" t="s">
        <v>57</v>
      </c>
    </row>
    <row r="3" spans="1:3" ht="27" customHeight="1" x14ac:dyDescent="0.4">
      <c r="A3" s="15" t="s">
        <v>69</v>
      </c>
      <c r="B3" s="53" t="s">
        <v>58</v>
      </c>
      <c r="C3" s="48" t="str">
        <f>IF(B3="ja","nein","ja")</f>
        <v>nein</v>
      </c>
    </row>
    <row r="4" spans="1:3" ht="27" customHeight="1" x14ac:dyDescent="0.4">
      <c r="A4" s="18" t="s">
        <v>2</v>
      </c>
      <c r="B4" s="74">
        <v>2026</v>
      </c>
      <c r="C4" s="74"/>
    </row>
    <row r="5" spans="1:3" ht="27" customHeight="1" x14ac:dyDescent="0.4">
      <c r="A5" s="15" t="s">
        <v>70</v>
      </c>
      <c r="B5" s="38" t="s">
        <v>44</v>
      </c>
      <c r="C5" s="39" t="s">
        <v>45</v>
      </c>
    </row>
    <row r="6" spans="1:3" ht="27" customHeight="1" x14ac:dyDescent="0.4">
      <c r="A6" s="40" t="s">
        <v>46</v>
      </c>
      <c r="B6" s="12"/>
      <c r="C6" s="22">
        <f>IF(B3="ja",'Berechnung familieneigen'!C8,'Berechnung familienfremd'!C11)</f>
        <v>0</v>
      </c>
    </row>
    <row r="7" spans="1:3" ht="27" customHeight="1" x14ac:dyDescent="0.4">
      <c r="A7" s="29" t="s">
        <v>50</v>
      </c>
      <c r="B7" s="44">
        <f>IF('Berechnung familieneigen'!$C$9=0,0,12)</f>
        <v>0</v>
      </c>
      <c r="C7" s="8">
        <f>VLOOKUP(B4,Abzüge!A3:N28,9)*B7</f>
        <v>0</v>
      </c>
    </row>
    <row r="8" spans="1:3" ht="27" customHeight="1" x14ac:dyDescent="0.4">
      <c r="A8" s="29" t="s">
        <v>47</v>
      </c>
      <c r="B8" s="44">
        <f>IF('Berechnung familieneigen'!$C$9=0,0,12)</f>
        <v>0</v>
      </c>
      <c r="C8" s="8">
        <f>VLOOKUP(B4,Abzüge!A4:N29,10)*B8</f>
        <v>0</v>
      </c>
    </row>
    <row r="9" spans="1:3" ht="27" customHeight="1" x14ac:dyDescent="0.4">
      <c r="A9" s="41" t="s">
        <v>12</v>
      </c>
      <c r="B9" s="42"/>
      <c r="C9" s="43">
        <f>SUM(C6:C8)</f>
        <v>0</v>
      </c>
    </row>
    <row r="10" spans="1:3" ht="27" customHeight="1" x14ac:dyDescent="0.4">
      <c r="A10" s="29" t="s">
        <v>51</v>
      </c>
      <c r="B10" s="70">
        <f>VLOOKUP(B4,Abzüge!A4:H29,2)/2</f>
        <v>5.2999999999999999E-2</v>
      </c>
      <c r="C10" s="8">
        <f>-$C$9*B10</f>
        <v>0</v>
      </c>
    </row>
    <row r="11" spans="1:3" ht="27" customHeight="1" x14ac:dyDescent="0.4">
      <c r="A11" s="29" t="s">
        <v>52</v>
      </c>
      <c r="B11" s="23" t="str">
        <f>IF(B3="ja","nicht pflichtig",VLOOKUP(B4,Abzüge!A5:H30,3)/2)</f>
        <v>nicht pflichtig</v>
      </c>
      <c r="C11" s="8">
        <f>IF(B3="ja",0,-$C$9*B11)</f>
        <v>0</v>
      </c>
    </row>
    <row r="12" spans="1:3" ht="27" customHeight="1" x14ac:dyDescent="0.4">
      <c r="A12" s="29" t="s">
        <v>55</v>
      </c>
      <c r="B12" s="70" t="str">
        <f>IF(B3="ja","nicht pflichtig",VLOOKUP(B4,Abzüge!A6:H31,4))</f>
        <v>nicht pflichtig</v>
      </c>
      <c r="C12" s="8">
        <f>-IF(B3="ja",0,$C$9*B12)</f>
        <v>0</v>
      </c>
    </row>
    <row r="13" spans="1:3" ht="27" customHeight="1" x14ac:dyDescent="0.4">
      <c r="A13" s="29" t="str">
        <f>VLOOKUP(B4,Abzüge!A4:N29,14)</f>
        <v>+ AN'beitrag Pk auf B.barlohn (ab 22'050.-- Jahreslohn)</v>
      </c>
      <c r="B13" s="19" t="s">
        <v>24</v>
      </c>
      <c r="C13" s="24">
        <v>0</v>
      </c>
    </row>
    <row r="14" spans="1:3" s="27" customFormat="1" ht="27" customHeight="1" x14ac:dyDescent="0.4">
      <c r="A14" s="41" t="s">
        <v>54</v>
      </c>
      <c r="B14" s="45"/>
      <c r="C14" s="46">
        <f>SUM(C9:C13)</f>
        <v>0</v>
      </c>
    </row>
    <row r="15" spans="1:3" ht="27" customHeight="1" x14ac:dyDescent="0.4">
      <c r="A15" s="29" t="s">
        <v>53</v>
      </c>
      <c r="B15" s="23" t="str">
        <f>IF(B3="ja","nicht pflichtig",VLOOKUP(B4,Abzüge!A4:H29,5)/2)</f>
        <v>nicht pflichtig</v>
      </c>
      <c r="C15" s="8">
        <f>IF(B3="ja",0,-$C$9*B15)</f>
        <v>0</v>
      </c>
    </row>
    <row r="16" spans="1:3" ht="27" customHeight="1" x14ac:dyDescent="0.4">
      <c r="A16" s="21" t="s">
        <v>59</v>
      </c>
      <c r="B16" s="14">
        <v>1</v>
      </c>
      <c r="C16" s="26">
        <f>SUM(C14:C15)</f>
        <v>0</v>
      </c>
    </row>
    <row r="18" spans="1:3" ht="27" customHeight="1" x14ac:dyDescent="0.4">
      <c r="A18" s="15" t="s">
        <v>43</v>
      </c>
      <c r="B18" s="17"/>
      <c r="C18" s="18" t="s">
        <v>29</v>
      </c>
    </row>
    <row r="19" spans="1:3" ht="27" customHeight="1" x14ac:dyDescent="0.4">
      <c r="A19" s="49" t="s">
        <v>61</v>
      </c>
      <c r="B19" s="55" t="s">
        <v>75</v>
      </c>
      <c r="C19" s="50">
        <f>C16</f>
        <v>0</v>
      </c>
    </row>
    <row r="20" spans="1:3" ht="27" customHeight="1" x14ac:dyDescent="0.4">
      <c r="A20" s="29" t="s">
        <v>68</v>
      </c>
      <c r="B20" s="44">
        <v>0</v>
      </c>
      <c r="C20" s="58">
        <f>VLOOKUP(B4,Abzüge!A4:N29,12)*B20</f>
        <v>0</v>
      </c>
    </row>
    <row r="21" spans="1:3" ht="27" customHeight="1" x14ac:dyDescent="0.4">
      <c r="A21" s="29" t="s">
        <v>64</v>
      </c>
      <c r="C21" s="58">
        <f>-C7</f>
        <v>0</v>
      </c>
    </row>
    <row r="22" spans="1:3" ht="27" customHeight="1" x14ac:dyDescent="0.4">
      <c r="A22" s="29" t="s">
        <v>65</v>
      </c>
      <c r="C22" s="58">
        <f>-C8</f>
        <v>0</v>
      </c>
    </row>
    <row r="23" spans="1:3" ht="27" customHeight="1" x14ac:dyDescent="0.4">
      <c r="A23" s="29" t="s">
        <v>66</v>
      </c>
      <c r="B23" s="7"/>
      <c r="C23" s="24">
        <v>0</v>
      </c>
    </row>
    <row r="24" spans="1:3" ht="27" customHeight="1" x14ac:dyDescent="0.4">
      <c r="A24" s="29" t="s">
        <v>62</v>
      </c>
      <c r="B24" s="7"/>
      <c r="C24" s="24">
        <v>0</v>
      </c>
    </row>
    <row r="25" spans="1:3" ht="27" customHeight="1" x14ac:dyDescent="0.4">
      <c r="A25" s="29" t="s">
        <v>67</v>
      </c>
      <c r="B25" s="7"/>
      <c r="C25" s="24">
        <v>0</v>
      </c>
    </row>
    <row r="26" spans="1:3" ht="27" customHeight="1" x14ac:dyDescent="0.4">
      <c r="A26" s="21" t="s">
        <v>63</v>
      </c>
      <c r="B26" s="51"/>
      <c r="C26" s="52">
        <f>SUM(C19:C25)</f>
        <v>0</v>
      </c>
    </row>
    <row r="27" spans="1:3" s="34" customFormat="1" ht="27" customHeight="1" x14ac:dyDescent="0.35">
      <c r="A27" s="34" t="s">
        <v>79</v>
      </c>
      <c r="B27" s="35" t="s">
        <v>36</v>
      </c>
      <c r="C27" s="36">
        <f ca="1">TODAY()</f>
        <v>46050</v>
      </c>
    </row>
  </sheetData>
  <mergeCells count="1">
    <mergeCell ref="B4:C4"/>
  </mergeCells>
  <pageMargins left="1.0629921259842521" right="0.55118110236220474" top="0.51181102362204722" bottom="0.11811023622047245" header="0.31496062992125984" footer="3.937007874015748E-2"/>
  <pageSetup paperSize="9" scale="95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9"/>
  <sheetViews>
    <sheetView workbookViewId="0">
      <selection activeCell="A19" sqref="A19"/>
    </sheetView>
  </sheetViews>
  <sheetFormatPr baseColWidth="10" defaultRowHeight="15" x14ac:dyDescent="0.4"/>
  <cols>
    <col min="1" max="1" width="5" bestFit="1" customWidth="1"/>
    <col min="2" max="10" width="12.6640625" style="20" customWidth="1"/>
    <col min="11" max="11" width="12.6640625" customWidth="1"/>
    <col min="12" max="12" width="12.6640625" style="56" customWidth="1"/>
    <col min="13" max="13" width="12.6640625" style="20" customWidth="1"/>
    <col min="14" max="256" width="12.6640625" customWidth="1"/>
  </cols>
  <sheetData>
    <row r="1" spans="1:14" ht="35.25" x14ac:dyDescent="0.95">
      <c r="B1" s="54" t="s">
        <v>20</v>
      </c>
    </row>
    <row r="2" spans="1:14" s="16" customFormat="1" ht="27.4" x14ac:dyDescent="0.4">
      <c r="B2" s="78" t="s">
        <v>71</v>
      </c>
      <c r="C2" s="79"/>
      <c r="D2" s="78" t="s">
        <v>74</v>
      </c>
      <c r="E2" s="79"/>
      <c r="F2" s="75" t="s">
        <v>72</v>
      </c>
      <c r="G2" s="76"/>
      <c r="H2" s="76"/>
      <c r="I2" s="76"/>
      <c r="J2" s="76"/>
      <c r="K2" s="76"/>
      <c r="L2" s="76"/>
      <c r="M2" s="77"/>
    </row>
    <row r="3" spans="1:14" s="17" customFormat="1" ht="39.75" customHeight="1" x14ac:dyDescent="0.4">
      <c r="B3" s="17" t="s">
        <v>21</v>
      </c>
      <c r="C3" s="17" t="s">
        <v>22</v>
      </c>
      <c r="D3" s="17" t="s">
        <v>37</v>
      </c>
      <c r="E3" s="37" t="s">
        <v>60</v>
      </c>
      <c r="F3" s="17" t="s">
        <v>31</v>
      </c>
      <c r="G3" s="17" t="s">
        <v>23</v>
      </c>
      <c r="H3" s="17" t="s">
        <v>38</v>
      </c>
      <c r="I3" s="37" t="s">
        <v>48</v>
      </c>
      <c r="J3" s="37" t="s">
        <v>49</v>
      </c>
      <c r="K3" s="37" t="s">
        <v>39</v>
      </c>
      <c r="L3" s="57" t="s">
        <v>76</v>
      </c>
      <c r="M3" s="37" t="s">
        <v>73</v>
      </c>
      <c r="N3" s="37" t="s">
        <v>40</v>
      </c>
    </row>
    <row r="4" spans="1:14" x14ac:dyDescent="0.4">
      <c r="A4">
        <v>2010</v>
      </c>
      <c r="B4" s="59">
        <v>0.10100000000000001</v>
      </c>
      <c r="C4" s="59">
        <v>0.02</v>
      </c>
      <c r="D4" s="59">
        <v>2.3E-2</v>
      </c>
      <c r="E4" s="59">
        <v>0.02</v>
      </c>
      <c r="F4" s="60">
        <v>2200</v>
      </c>
      <c r="G4" s="60">
        <v>19890</v>
      </c>
      <c r="H4" s="60">
        <v>11880</v>
      </c>
      <c r="I4" s="60">
        <v>645</v>
      </c>
      <c r="J4" s="60">
        <v>345</v>
      </c>
      <c r="K4" s="61" t="s">
        <v>5</v>
      </c>
      <c r="L4" s="62">
        <v>21.5</v>
      </c>
      <c r="M4" s="61" t="s">
        <v>17</v>
      </c>
      <c r="N4" s="63" t="s">
        <v>35</v>
      </c>
    </row>
    <row r="5" spans="1:14" x14ac:dyDescent="0.4">
      <c r="A5">
        <v>2011</v>
      </c>
      <c r="B5" s="59">
        <v>0.10299999999999999</v>
      </c>
      <c r="C5" s="59">
        <v>2.1999999999999999E-2</v>
      </c>
      <c r="D5" s="59">
        <v>2.5000000000000001E-2</v>
      </c>
      <c r="E5" s="59">
        <v>0.02</v>
      </c>
      <c r="F5" s="60">
        <v>2300</v>
      </c>
      <c r="G5" s="60">
        <v>20880</v>
      </c>
      <c r="H5" s="60">
        <v>11880</v>
      </c>
      <c r="I5" s="60">
        <v>645</v>
      </c>
      <c r="J5" s="60">
        <v>345</v>
      </c>
      <c r="K5" s="61" t="s">
        <v>5</v>
      </c>
      <c r="L5" s="62">
        <v>21.5</v>
      </c>
      <c r="M5" s="61" t="s">
        <v>17</v>
      </c>
      <c r="N5" s="64" t="s">
        <v>41</v>
      </c>
    </row>
    <row r="6" spans="1:14" x14ac:dyDescent="0.4">
      <c r="A6">
        <v>2012</v>
      </c>
      <c r="B6" s="65">
        <f>B5</f>
        <v>0.10299999999999999</v>
      </c>
      <c r="C6" s="65">
        <f>C5</f>
        <v>2.1999999999999999E-2</v>
      </c>
      <c r="D6" s="65">
        <f>D5</f>
        <v>2.5000000000000001E-2</v>
      </c>
      <c r="E6" s="59">
        <v>0.02</v>
      </c>
      <c r="F6" s="60">
        <f>F5</f>
        <v>2300</v>
      </c>
      <c r="G6" s="60">
        <f>G5</f>
        <v>20880</v>
      </c>
      <c r="H6" s="60">
        <v>11880</v>
      </c>
      <c r="I6" s="60">
        <v>645</v>
      </c>
      <c r="J6" s="60">
        <v>345</v>
      </c>
      <c r="K6" s="61" t="s">
        <v>5</v>
      </c>
      <c r="L6" s="62">
        <v>21.5</v>
      </c>
      <c r="M6" s="61" t="s">
        <v>17</v>
      </c>
      <c r="N6" s="64" t="s">
        <v>41</v>
      </c>
    </row>
    <row r="7" spans="1:14" x14ac:dyDescent="0.4">
      <c r="A7">
        <v>2013</v>
      </c>
      <c r="B7" s="65">
        <f>B5</f>
        <v>0.10299999999999999</v>
      </c>
      <c r="C7" s="65">
        <f>C5</f>
        <v>2.1999999999999999E-2</v>
      </c>
      <c r="D7" s="65">
        <f>D5</f>
        <v>2.5000000000000001E-2</v>
      </c>
      <c r="E7" s="59">
        <v>0.02</v>
      </c>
      <c r="F7" s="60">
        <v>2300</v>
      </c>
      <c r="G7" s="60">
        <v>21060</v>
      </c>
      <c r="H7" s="60">
        <v>11880</v>
      </c>
      <c r="I7" s="60">
        <v>645</v>
      </c>
      <c r="J7" s="60">
        <v>345</v>
      </c>
      <c r="K7" s="61" t="s">
        <v>5</v>
      </c>
      <c r="L7" s="62">
        <v>21.5</v>
      </c>
      <c r="M7" s="61" t="s">
        <v>17</v>
      </c>
      <c r="N7" s="64" t="s">
        <v>42</v>
      </c>
    </row>
    <row r="8" spans="1:14" x14ac:dyDescent="0.4">
      <c r="A8">
        <v>2014</v>
      </c>
      <c r="B8" s="65">
        <f>B7</f>
        <v>0.10299999999999999</v>
      </c>
      <c r="C8" s="65">
        <f>C7</f>
        <v>2.1999999999999999E-2</v>
      </c>
      <c r="D8" s="65">
        <v>1.6070000000000001E-2</v>
      </c>
      <c r="E8" s="59">
        <v>0.02</v>
      </c>
      <c r="F8" s="60">
        <f t="shared" ref="F8:G20" si="0">F7</f>
        <v>2300</v>
      </c>
      <c r="G8" s="66">
        <f t="shared" si="0"/>
        <v>21060</v>
      </c>
      <c r="H8" s="60">
        <v>11880</v>
      </c>
      <c r="I8" s="60">
        <v>645</v>
      </c>
      <c r="J8" s="60">
        <v>345</v>
      </c>
      <c r="K8" s="61" t="s">
        <v>5</v>
      </c>
      <c r="L8" s="62">
        <v>21.5</v>
      </c>
      <c r="M8" s="61" t="s">
        <v>17</v>
      </c>
      <c r="N8" s="64" t="s">
        <v>42</v>
      </c>
    </row>
    <row r="9" spans="1:14" x14ac:dyDescent="0.4">
      <c r="A9">
        <v>2015</v>
      </c>
      <c r="B9" s="65">
        <f>B8</f>
        <v>0.10299999999999999</v>
      </c>
      <c r="C9" s="65">
        <f>C8</f>
        <v>2.1999999999999999E-2</v>
      </c>
      <c r="D9" s="65">
        <v>1.6070000000000001E-2</v>
      </c>
      <c r="E9" s="59">
        <v>0.02</v>
      </c>
      <c r="F9" s="60">
        <f t="shared" si="0"/>
        <v>2300</v>
      </c>
      <c r="G9" s="66">
        <v>21150</v>
      </c>
      <c r="H9" s="60">
        <v>11880</v>
      </c>
      <c r="I9" s="60">
        <v>645</v>
      </c>
      <c r="J9" s="60">
        <v>345</v>
      </c>
      <c r="K9" s="61" t="s">
        <v>5</v>
      </c>
      <c r="L9" s="62">
        <v>21.5</v>
      </c>
      <c r="M9" s="61" t="s">
        <v>17</v>
      </c>
      <c r="N9" s="64" t="s">
        <v>78</v>
      </c>
    </row>
    <row r="10" spans="1:14" x14ac:dyDescent="0.4">
      <c r="A10">
        <v>2016</v>
      </c>
      <c r="B10" s="65">
        <v>0.10249999999999999</v>
      </c>
      <c r="C10" s="65">
        <f>C9</f>
        <v>2.1999999999999999E-2</v>
      </c>
      <c r="D10" s="72">
        <v>1.6809999999999999E-2</v>
      </c>
      <c r="E10" s="59">
        <v>6.0000000000000001E-3</v>
      </c>
      <c r="F10" s="60">
        <f t="shared" si="0"/>
        <v>2300</v>
      </c>
      <c r="G10" s="66">
        <f t="shared" si="0"/>
        <v>21150</v>
      </c>
      <c r="H10" s="60">
        <v>11880</v>
      </c>
      <c r="I10" s="60">
        <v>645</v>
      </c>
      <c r="J10" s="60">
        <v>345</v>
      </c>
      <c r="K10" s="61" t="s">
        <v>5</v>
      </c>
      <c r="L10" s="62">
        <v>21.5</v>
      </c>
      <c r="M10" s="61" t="s">
        <v>17</v>
      </c>
      <c r="N10" s="64" t="s">
        <v>78</v>
      </c>
    </row>
    <row r="11" spans="1:14" x14ac:dyDescent="0.4">
      <c r="A11">
        <v>2017</v>
      </c>
      <c r="B11" s="65">
        <v>0.10249999999999999</v>
      </c>
      <c r="C11" s="65">
        <f>C10</f>
        <v>2.1999999999999999E-2</v>
      </c>
      <c r="D11" s="72">
        <v>1.6410000000000001E-2</v>
      </c>
      <c r="E11" s="59">
        <v>6.4999999999999997E-3</v>
      </c>
      <c r="F11" s="60">
        <f t="shared" si="0"/>
        <v>2300</v>
      </c>
      <c r="G11" s="66">
        <f t="shared" si="0"/>
        <v>21150</v>
      </c>
      <c r="H11" s="60">
        <v>11880</v>
      </c>
      <c r="I11" s="60">
        <v>645</v>
      </c>
      <c r="J11" s="60">
        <v>345</v>
      </c>
      <c r="K11" s="61" t="s">
        <v>5</v>
      </c>
      <c r="L11" s="62">
        <v>21.5</v>
      </c>
      <c r="M11" s="61" t="s">
        <v>17</v>
      </c>
      <c r="N11" s="64" t="s">
        <v>78</v>
      </c>
    </row>
    <row r="12" spans="1:14" x14ac:dyDescent="0.4">
      <c r="A12">
        <v>2018</v>
      </c>
      <c r="B12" s="65">
        <v>0.10249999999999999</v>
      </c>
      <c r="C12" s="65">
        <f>C11</f>
        <v>2.1999999999999999E-2</v>
      </c>
      <c r="D12" s="72">
        <v>1.6410000000000001E-2</v>
      </c>
      <c r="E12" s="59">
        <v>6.4999999999999997E-3</v>
      </c>
      <c r="F12" s="60">
        <f t="shared" si="0"/>
        <v>2300</v>
      </c>
      <c r="G12" s="66">
        <f t="shared" si="0"/>
        <v>21150</v>
      </c>
      <c r="H12" s="60">
        <v>11880</v>
      </c>
      <c r="I12" s="60">
        <v>645</v>
      </c>
      <c r="J12" s="60">
        <v>345</v>
      </c>
      <c r="K12" s="61" t="s">
        <v>5</v>
      </c>
      <c r="L12" s="62">
        <v>21.5</v>
      </c>
      <c r="M12" s="61" t="s">
        <v>17</v>
      </c>
      <c r="N12" s="64" t="s">
        <v>78</v>
      </c>
    </row>
    <row r="13" spans="1:14" x14ac:dyDescent="0.4">
      <c r="A13">
        <v>2019</v>
      </c>
      <c r="B13" s="65">
        <v>0.10249999999999999</v>
      </c>
      <c r="C13" s="65">
        <f>C12</f>
        <v>2.1999999999999999E-2</v>
      </c>
      <c r="D13" s="72">
        <v>1.6410000000000001E-2</v>
      </c>
      <c r="E13" s="59">
        <v>6.4999999999999997E-3</v>
      </c>
      <c r="F13" s="60">
        <f t="shared" si="0"/>
        <v>2300</v>
      </c>
      <c r="G13" s="66">
        <v>21330</v>
      </c>
      <c r="H13" s="60">
        <v>11880</v>
      </c>
      <c r="I13" s="60">
        <v>645</v>
      </c>
      <c r="J13" s="60">
        <v>345</v>
      </c>
      <c r="K13" s="61" t="s">
        <v>5</v>
      </c>
      <c r="L13" s="62">
        <v>21.5</v>
      </c>
      <c r="M13" s="61" t="s">
        <v>17</v>
      </c>
      <c r="N13" s="73" t="s">
        <v>80</v>
      </c>
    </row>
    <row r="14" spans="1:14" x14ac:dyDescent="0.4">
      <c r="A14">
        <v>2020</v>
      </c>
      <c r="B14" s="65">
        <v>0.1055</v>
      </c>
      <c r="C14" s="65">
        <v>2.1999999999999999E-2</v>
      </c>
      <c r="D14" s="72">
        <v>1.6809999999999999E-2</v>
      </c>
      <c r="E14" s="59">
        <v>6.4999999999999997E-3</v>
      </c>
      <c r="F14" s="60">
        <f t="shared" si="0"/>
        <v>2300</v>
      </c>
      <c r="G14" s="66">
        <v>21330</v>
      </c>
      <c r="H14" s="60">
        <v>11880</v>
      </c>
      <c r="I14" s="60">
        <v>645</v>
      </c>
      <c r="J14" s="60">
        <v>345</v>
      </c>
      <c r="K14" s="61" t="s">
        <v>5</v>
      </c>
      <c r="L14" s="62">
        <v>21.5</v>
      </c>
      <c r="M14" s="61" t="s">
        <v>17</v>
      </c>
      <c r="N14" s="73" t="s">
        <v>80</v>
      </c>
    </row>
    <row r="15" spans="1:14" x14ac:dyDescent="0.4">
      <c r="A15">
        <v>2021</v>
      </c>
      <c r="B15" s="65">
        <v>0.106</v>
      </c>
      <c r="C15" s="65">
        <v>2.1999999999999999E-2</v>
      </c>
      <c r="D15" s="72">
        <v>1.6809999999999999E-2</v>
      </c>
      <c r="E15" s="65">
        <v>6.4999999999999997E-3</v>
      </c>
      <c r="F15" s="60">
        <f t="shared" si="0"/>
        <v>2300</v>
      </c>
      <c r="G15" s="66">
        <v>21510</v>
      </c>
      <c r="H15" s="60">
        <v>11880</v>
      </c>
      <c r="I15" s="60">
        <v>645</v>
      </c>
      <c r="J15" s="60">
        <v>345</v>
      </c>
      <c r="K15" s="61" t="s">
        <v>5</v>
      </c>
      <c r="L15" s="62">
        <v>21.5</v>
      </c>
      <c r="M15" s="61" t="s">
        <v>17</v>
      </c>
      <c r="N15" s="73" t="s">
        <v>81</v>
      </c>
    </row>
    <row r="16" spans="1:14" x14ac:dyDescent="0.4">
      <c r="A16">
        <v>2022</v>
      </c>
      <c r="B16" s="65">
        <v>0.106</v>
      </c>
      <c r="C16" s="65">
        <v>2.1999999999999999E-2</v>
      </c>
      <c r="D16" s="72">
        <v>1.6809999999999999E-2</v>
      </c>
      <c r="E16" s="65">
        <v>6.4999999999999997E-3</v>
      </c>
      <c r="F16" s="60">
        <f t="shared" si="0"/>
        <v>2300</v>
      </c>
      <c r="G16" s="66">
        <v>21510</v>
      </c>
      <c r="H16" s="60">
        <v>11880</v>
      </c>
      <c r="I16" s="60">
        <v>645</v>
      </c>
      <c r="J16" s="60">
        <v>345</v>
      </c>
      <c r="K16" s="61" t="s">
        <v>5</v>
      </c>
      <c r="L16" s="62">
        <v>21.5</v>
      </c>
      <c r="M16" s="61" t="s">
        <v>17</v>
      </c>
      <c r="N16" s="73" t="s">
        <v>81</v>
      </c>
    </row>
    <row r="17" spans="1:14" x14ac:dyDescent="0.4">
      <c r="A17">
        <v>2023</v>
      </c>
      <c r="B17" s="65">
        <v>0.106</v>
      </c>
      <c r="C17" s="65">
        <v>2.1999999999999999E-2</v>
      </c>
      <c r="D17" s="72">
        <v>1.6070000000000001E-2</v>
      </c>
      <c r="E17" s="65">
        <v>6.4999999999999997E-3</v>
      </c>
      <c r="F17" s="60">
        <f t="shared" si="0"/>
        <v>2300</v>
      </c>
      <c r="G17" s="66">
        <v>22050</v>
      </c>
      <c r="H17" s="60">
        <v>11880</v>
      </c>
      <c r="I17" s="60">
        <v>645</v>
      </c>
      <c r="J17" s="60">
        <v>345</v>
      </c>
      <c r="K17" s="61" t="s">
        <v>5</v>
      </c>
      <c r="L17" s="62">
        <v>21.5</v>
      </c>
      <c r="M17" s="61" t="s">
        <v>17</v>
      </c>
      <c r="N17" s="73" t="s">
        <v>82</v>
      </c>
    </row>
    <row r="18" spans="1:14" x14ac:dyDescent="0.4">
      <c r="A18">
        <v>2024</v>
      </c>
      <c r="B18" s="65">
        <v>0.106</v>
      </c>
      <c r="C18" s="65">
        <v>2.1999999999999999E-2</v>
      </c>
      <c r="D18" s="72">
        <v>1.6070000000000001E-2</v>
      </c>
      <c r="E18" s="65">
        <v>6.4999999999999997E-3</v>
      </c>
      <c r="F18" s="60">
        <f t="shared" si="0"/>
        <v>2300</v>
      </c>
      <c r="G18" s="66">
        <v>22050</v>
      </c>
      <c r="H18" s="60">
        <v>11880</v>
      </c>
      <c r="I18" s="60">
        <v>645</v>
      </c>
      <c r="J18" s="60">
        <v>345</v>
      </c>
      <c r="K18" s="61" t="s">
        <v>5</v>
      </c>
      <c r="L18" s="62">
        <v>21.5</v>
      </c>
      <c r="M18" s="61" t="s">
        <v>17</v>
      </c>
      <c r="N18" s="73" t="s">
        <v>82</v>
      </c>
    </row>
    <row r="19" spans="1:14" x14ac:dyDescent="0.4">
      <c r="A19">
        <v>2025</v>
      </c>
      <c r="B19" s="65">
        <v>0.106</v>
      </c>
      <c r="C19" s="65">
        <v>2.1999999999999999E-2</v>
      </c>
      <c r="D19" s="72">
        <v>1.6070000000000001E-2</v>
      </c>
      <c r="E19" s="65">
        <v>9.4000000000000004E-3</v>
      </c>
      <c r="F19" s="60">
        <f t="shared" si="0"/>
        <v>2300</v>
      </c>
      <c r="G19" s="66">
        <v>22050</v>
      </c>
      <c r="H19" s="60">
        <v>11880</v>
      </c>
      <c r="I19" s="60">
        <v>645</v>
      </c>
      <c r="J19" s="60">
        <v>345</v>
      </c>
      <c r="K19" s="61" t="s">
        <v>5</v>
      </c>
      <c r="L19" s="62">
        <v>21.5</v>
      </c>
      <c r="M19" s="61" t="s">
        <v>17</v>
      </c>
      <c r="N19" s="73" t="s">
        <v>82</v>
      </c>
    </row>
    <row r="20" spans="1:14" x14ac:dyDescent="0.4">
      <c r="A20">
        <v>2026</v>
      </c>
      <c r="B20" s="65">
        <v>0.106</v>
      </c>
      <c r="C20" s="65">
        <v>2.1999999999999999E-2</v>
      </c>
      <c r="D20" s="72">
        <v>1.6070000000000001E-2</v>
      </c>
      <c r="E20" s="65">
        <v>9.4000000000000004E-3</v>
      </c>
      <c r="F20" s="60">
        <f t="shared" si="0"/>
        <v>2300</v>
      </c>
      <c r="G20" s="66">
        <v>22050</v>
      </c>
      <c r="H20" s="60">
        <v>11880</v>
      </c>
      <c r="I20" s="60">
        <v>645</v>
      </c>
      <c r="J20" s="60">
        <v>345</v>
      </c>
      <c r="K20" s="61" t="s">
        <v>5</v>
      </c>
      <c r="L20" s="62">
        <v>21.5</v>
      </c>
      <c r="M20" s="61" t="s">
        <v>17</v>
      </c>
      <c r="N20" s="73" t="s">
        <v>82</v>
      </c>
    </row>
    <row r="21" spans="1:14" x14ac:dyDescent="0.4">
      <c r="A21">
        <v>2027</v>
      </c>
      <c r="B21" s="67"/>
      <c r="C21" s="67"/>
      <c r="D21" s="67"/>
      <c r="E21" s="67"/>
      <c r="F21" s="67"/>
      <c r="G21" s="67"/>
      <c r="H21" s="67"/>
      <c r="I21" s="67"/>
      <c r="J21" s="67"/>
      <c r="K21" s="68"/>
      <c r="L21" s="69"/>
      <c r="M21" s="67"/>
      <c r="N21" s="68"/>
    </row>
    <row r="22" spans="1:14" x14ac:dyDescent="0.4">
      <c r="A22">
        <v>2028</v>
      </c>
      <c r="B22" s="67"/>
      <c r="C22" s="67"/>
      <c r="D22" s="67"/>
      <c r="E22" s="67"/>
      <c r="F22" s="67"/>
      <c r="G22" s="67"/>
      <c r="H22" s="67"/>
      <c r="I22" s="67"/>
      <c r="J22" s="67"/>
      <c r="K22" s="68"/>
      <c r="L22" s="69"/>
      <c r="M22" s="67"/>
      <c r="N22" s="68"/>
    </row>
    <row r="23" spans="1:14" x14ac:dyDescent="0.4">
      <c r="A23">
        <v>2029</v>
      </c>
      <c r="B23" s="67"/>
      <c r="C23" s="67"/>
      <c r="D23" s="67"/>
      <c r="E23" s="67"/>
      <c r="F23" s="67"/>
      <c r="G23" s="67"/>
      <c r="H23" s="67"/>
      <c r="I23" s="67"/>
      <c r="J23" s="67"/>
      <c r="K23" s="68"/>
      <c r="L23" s="69"/>
      <c r="M23" s="67"/>
      <c r="N23" s="68"/>
    </row>
    <row r="24" spans="1:14" x14ac:dyDescent="0.4">
      <c r="A24">
        <v>2030</v>
      </c>
      <c r="B24" s="67"/>
      <c r="C24" s="67"/>
      <c r="D24" s="67"/>
      <c r="E24" s="67"/>
      <c r="F24" s="67"/>
      <c r="G24" s="67"/>
      <c r="H24" s="67"/>
      <c r="I24" s="67"/>
      <c r="J24" s="67"/>
      <c r="K24" s="68"/>
      <c r="L24" s="69"/>
      <c r="M24" s="67"/>
      <c r="N24" s="68"/>
    </row>
    <row r="25" spans="1:14" x14ac:dyDescent="0.4">
      <c r="A25">
        <v>2031</v>
      </c>
      <c r="B25" s="67"/>
      <c r="C25" s="67"/>
      <c r="D25" s="67"/>
      <c r="E25" s="67"/>
      <c r="F25" s="67"/>
      <c r="G25" s="67"/>
      <c r="H25" s="67"/>
      <c r="I25" s="67"/>
      <c r="J25" s="67"/>
      <c r="K25" s="68"/>
      <c r="L25" s="69"/>
      <c r="M25" s="67"/>
      <c r="N25" s="68"/>
    </row>
    <row r="26" spans="1:14" x14ac:dyDescent="0.4">
      <c r="A26">
        <v>2032</v>
      </c>
      <c r="B26" s="67"/>
      <c r="C26" s="67"/>
      <c r="D26" s="67"/>
      <c r="E26" s="67"/>
      <c r="F26" s="67"/>
      <c r="G26" s="67"/>
      <c r="H26" s="67"/>
      <c r="I26" s="67"/>
      <c r="J26" s="67"/>
      <c r="K26" s="68"/>
      <c r="L26" s="69"/>
      <c r="M26" s="67"/>
      <c r="N26" s="68"/>
    </row>
    <row r="27" spans="1:14" x14ac:dyDescent="0.4">
      <c r="A27">
        <v>2033</v>
      </c>
      <c r="B27" s="67"/>
      <c r="C27" s="67"/>
      <c r="D27" s="67"/>
      <c r="E27" s="67"/>
      <c r="F27" s="67"/>
      <c r="G27" s="67"/>
      <c r="H27" s="67"/>
      <c r="I27" s="67"/>
      <c r="J27" s="67"/>
      <c r="K27" s="68"/>
      <c r="L27" s="69"/>
      <c r="M27" s="67"/>
      <c r="N27" s="68"/>
    </row>
    <row r="28" spans="1:14" x14ac:dyDescent="0.4">
      <c r="A28">
        <v>2034</v>
      </c>
      <c r="B28" s="67"/>
      <c r="C28" s="67"/>
      <c r="D28" s="67"/>
      <c r="E28" s="67"/>
      <c r="F28" s="67"/>
      <c r="G28" s="67"/>
      <c r="H28" s="67"/>
      <c r="I28" s="67"/>
      <c r="J28" s="67"/>
      <c r="K28" s="68"/>
      <c r="L28" s="69"/>
      <c r="M28" s="67"/>
      <c r="N28" s="68"/>
    </row>
    <row r="29" spans="1:14" x14ac:dyDescent="0.4">
      <c r="A29">
        <v>2035</v>
      </c>
      <c r="B29" s="67"/>
      <c r="C29" s="67"/>
      <c r="D29" s="67"/>
      <c r="E29" s="67"/>
      <c r="F29" s="67"/>
      <c r="G29" s="67"/>
      <c r="H29" s="67"/>
      <c r="I29" s="67"/>
      <c r="J29" s="67"/>
      <c r="K29" s="68"/>
      <c r="L29" s="69"/>
      <c r="M29" s="67"/>
      <c r="N29" s="68"/>
    </row>
  </sheetData>
  <mergeCells count="3">
    <mergeCell ref="F2:M2"/>
    <mergeCell ref="D2:E2"/>
    <mergeCell ref="B2:C2"/>
  </mergeCells>
  <phoneticPr fontId="2" type="noConversion"/>
  <pageMargins left="0.19685039370078741" right="0.15748031496062992" top="0.74803149606299213" bottom="0.70866141732283472" header="0.51181102362204722" footer="0.39370078740157483"/>
  <pageSetup paperSize="9" scale="5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Berechnung familieneigen</vt:lpstr>
      <vt:lpstr>Berechnung familienfremd</vt:lpstr>
      <vt:lpstr>Lohnabrechnung</vt:lpstr>
      <vt:lpstr>Abzüge</vt:lpstr>
    </vt:vector>
  </TitlesOfParts>
  <Company>AT-Waldhof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Bürki</dc:creator>
  <cp:lastModifiedBy>Fredy Bürki</cp:lastModifiedBy>
  <cp:lastPrinted>2018-09-27T08:18:23Z</cp:lastPrinted>
  <dcterms:created xsi:type="dcterms:W3CDTF">2010-12-15T09:24:11Z</dcterms:created>
  <dcterms:modified xsi:type="dcterms:W3CDTF">2026-01-28T10:04:59Z</dcterms:modified>
</cp:coreProperties>
</file>